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idku\Downloads\"/>
    </mc:Choice>
  </mc:AlternateContent>
  <xr:revisionPtr revIDLastSave="0" documentId="13_ncr:1_{237B17FD-EDB3-4E7C-8EE2-9A90160CCD9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ssumptions" sheetId="1" r:id="rId1"/>
    <sheet name="TCO Model" sheetId="2" r:id="rId2"/>
  </sheets>
  <definedNames>
    <definedName name="_xlnm.Print_Area" localSheetId="1">'TCO Model'!$A$1:$I$60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1" i="2" l="1"/>
  <c r="G20" i="2"/>
  <c r="F20" i="2"/>
  <c r="E20" i="2"/>
  <c r="D20" i="2"/>
  <c r="C20" i="2"/>
  <c r="B20" i="2"/>
  <c r="B43" i="2" s="1"/>
  <c r="I19" i="2"/>
  <c r="H19" i="2"/>
  <c r="I18" i="2"/>
  <c r="H18" i="2"/>
  <c r="I17" i="2"/>
  <c r="H17" i="2"/>
  <c r="I16" i="2"/>
  <c r="H16" i="2"/>
  <c r="I14" i="2"/>
  <c r="H14" i="2"/>
  <c r="I13" i="2"/>
  <c r="H13" i="2"/>
  <c r="I12" i="2"/>
  <c r="H12" i="2"/>
  <c r="I10" i="2"/>
  <c r="H10" i="2"/>
  <c r="I9" i="2"/>
  <c r="H9" i="2"/>
  <c r="I8" i="2"/>
  <c r="H8" i="2"/>
  <c r="I7" i="2"/>
  <c r="I20" i="2" s="1"/>
  <c r="H7" i="2"/>
  <c r="H20" i="2" s="1"/>
  <c r="F15" i="1"/>
  <c r="F14" i="1"/>
  <c r="F13" i="1"/>
  <c r="F12" i="1"/>
  <c r="C39" i="2" s="1"/>
  <c r="F11" i="1"/>
  <c r="D24" i="2" s="1"/>
  <c r="F10" i="1"/>
  <c r="D28" i="2" s="1"/>
  <c r="F9" i="1"/>
  <c r="D31" i="2" s="1"/>
  <c r="F8" i="1"/>
  <c r="D36" i="2" s="1"/>
  <c r="F7" i="1"/>
  <c r="G48" i="2" s="1"/>
  <c r="C40" i="2" l="1"/>
  <c r="I40" i="2" s="1"/>
  <c r="E36" i="2"/>
  <c r="F36" i="2" s="1"/>
  <c r="G36" i="2" s="1"/>
  <c r="E31" i="2"/>
  <c r="F31" i="2" s="1"/>
  <c r="G31" i="2" s="1"/>
  <c r="H31" i="2"/>
  <c r="E28" i="2"/>
  <c r="F28" i="2" s="1"/>
  <c r="G28" i="2" s="1"/>
  <c r="E24" i="2"/>
  <c r="D29" i="2"/>
  <c r="D34" i="2"/>
  <c r="D33" i="2"/>
  <c r="D38" i="2"/>
  <c r="I36" i="2"/>
  <c r="C48" i="2"/>
  <c r="D27" i="2"/>
  <c r="D32" i="2"/>
  <c r="D37" i="2"/>
  <c r="D48" i="2"/>
  <c r="E48" i="2"/>
  <c r="D25" i="2"/>
  <c r="F48" i="2"/>
  <c r="C41" i="2" l="1"/>
  <c r="C43" i="2" s="1"/>
  <c r="H40" i="2"/>
  <c r="I28" i="2"/>
  <c r="H36" i="2"/>
  <c r="E27" i="2"/>
  <c r="F27" i="2" s="1"/>
  <c r="G27" i="2" s="1"/>
  <c r="I27" i="2"/>
  <c r="E25" i="2"/>
  <c r="F25" i="2" s="1"/>
  <c r="G25" i="2" s="1"/>
  <c r="E34" i="2"/>
  <c r="F34" i="2" s="1"/>
  <c r="G34" i="2" s="1"/>
  <c r="I31" i="2"/>
  <c r="F24" i="2"/>
  <c r="I24" i="2" s="1"/>
  <c r="E38" i="2"/>
  <c r="E37" i="2"/>
  <c r="F37" i="2" s="1"/>
  <c r="G37" i="2" s="1"/>
  <c r="E33" i="2"/>
  <c r="D39" i="2"/>
  <c r="E29" i="2"/>
  <c r="I25" i="2"/>
  <c r="E32" i="2"/>
  <c r="H28" i="2"/>
  <c r="H27" i="2" l="1"/>
  <c r="H25" i="2"/>
  <c r="F38" i="2"/>
  <c r="G38" i="2" s="1"/>
  <c r="I38" i="2"/>
  <c r="H34" i="2"/>
  <c r="G24" i="2"/>
  <c r="H24" i="2" s="1"/>
  <c r="F29" i="2"/>
  <c r="G29" i="2" s="1"/>
  <c r="I29" i="2"/>
  <c r="I34" i="2"/>
  <c r="I37" i="2"/>
  <c r="F33" i="2"/>
  <c r="G33" i="2" s="1"/>
  <c r="E39" i="2"/>
  <c r="E41" i="2" s="1"/>
  <c r="E43" i="2" s="1"/>
  <c r="F32" i="2"/>
  <c r="I32" i="2" s="1"/>
  <c r="D41" i="2"/>
  <c r="D43" i="2" s="1"/>
  <c r="H37" i="2"/>
  <c r="I33" i="2" l="1"/>
  <c r="H38" i="2"/>
  <c r="H29" i="2"/>
  <c r="H33" i="2"/>
  <c r="F39" i="2"/>
  <c r="G32" i="2"/>
  <c r="H32" i="2" s="1"/>
  <c r="G39" i="2" l="1"/>
  <c r="H39" i="2" s="1"/>
  <c r="H41" i="2" s="1"/>
  <c r="H43" i="2" s="1"/>
  <c r="I39" i="2"/>
  <c r="I41" i="2" s="1"/>
  <c r="F41" i="2"/>
  <c r="F43" i="2" s="1"/>
  <c r="G41" i="2" l="1"/>
  <c r="G43" i="2" s="1"/>
  <c r="I44" i="2"/>
  <c r="I43" i="2"/>
</calcChain>
</file>

<file path=xl/sharedStrings.xml><?xml version="1.0" encoding="utf-8"?>
<sst xmlns="http://schemas.openxmlformats.org/spreadsheetml/2006/main" count="103" uniqueCount="97">
  <si>
    <t>Model Assumptions &amp; Scenario Controls</t>
  </si>
  <si>
    <t>▶  ACTIVE SCENARIO</t>
  </si>
  <si>
    <t>Base</t>
  </si>
  <si>
    <t>Assumption</t>
  </si>
  <si>
    <t>Optimistic</t>
  </si>
  <si>
    <t>Pessimistic</t>
  </si>
  <si>
    <t>← Active Value</t>
  </si>
  <si>
    <t>Notes</t>
  </si>
  <si>
    <t xml:space="preserve">  Discount Rate (WACC)</t>
  </si>
  <si>
    <t xml:space="preserve">  General Inflation Rate</t>
  </si>
  <si>
    <t>Drives hardware maintenance, compliance, training cost escalation</t>
  </si>
  <si>
    <t xml:space="preserve">  Annual Salary Growth</t>
  </si>
  <si>
    <t>Vendors raise subscription prices aggressively at renewal</t>
  </si>
  <si>
    <t xml:space="preserve">  Cloud Cost Growth</t>
  </si>
  <si>
    <t>Usage grows with business; optimistic = tight controls</t>
  </si>
  <si>
    <t xml:space="preserve">  Contingency Rate</t>
  </si>
  <si>
    <t>% of annual recurring held as unplanned cost buffer</t>
  </si>
  <si>
    <t xml:space="preserve">  Productivity Loss (months)</t>
  </si>
  <si>
    <t>Transition period where staff work at reduced efficiency</t>
  </si>
  <si>
    <t xml:space="preserve">  Staff Affected (%)</t>
  </si>
  <si>
    <t>% of total headcount disrupted during migration</t>
  </si>
  <si>
    <t xml:space="preserve">  Avg. Loaded Annual Salary</t>
  </si>
  <si>
    <t>Fully-loaded cost per employee (salary + benefits + overhead)</t>
  </si>
  <si>
    <t xml:space="preserve">  🔵 Blue = editable inputs    |    🟡 Yellow = active scenario selector    |    🔷 Blue-shaded = auto-calculated active value</t>
  </si>
  <si>
    <t>Cost Item</t>
  </si>
  <si>
    <t>One-Time (Yr 0)</t>
  </si>
  <si>
    <t>Year 1</t>
  </si>
  <si>
    <t>Year 2</t>
  </si>
  <si>
    <t>Year 3</t>
  </si>
  <si>
    <t>Year 4</t>
  </si>
  <si>
    <t>Year 5</t>
  </si>
  <si>
    <t>Nominal 5-Yr Total</t>
  </si>
  <si>
    <t>NPV (Today's $)</t>
  </si>
  <si>
    <t xml:space="preserve">   Hardware</t>
  </si>
  <si>
    <t>Servers (rack units / on-prem compute)</t>
  </si>
  <si>
    <t>Network equipment (switches, firewall)</t>
  </si>
  <si>
    <t>End-user devices (laptops, peripherals)</t>
  </si>
  <si>
    <t>UPS / backup power hardware</t>
  </si>
  <si>
    <t xml:space="preserve">   Software</t>
  </si>
  <si>
    <t>Dev tools &amp; productivity licenses</t>
  </si>
  <si>
    <t xml:space="preserve">   Implementation &amp; Setup</t>
  </si>
  <si>
    <t>System integration &amp; configuration</t>
  </si>
  <si>
    <t>Data migration</t>
  </si>
  <si>
    <t>Initial staff training</t>
  </si>
  <si>
    <t>Project management (internal cost est.)</t>
  </si>
  <si>
    <t xml:space="preserve">   Cloud &amp; Hosting</t>
  </si>
  <si>
    <t>Cloud hosting / IaaS (AWS, Azure, GCP)</t>
  </si>
  <si>
    <t>Backup &amp; disaster recovery service</t>
  </si>
  <si>
    <t xml:space="preserve">   Software Subscriptions &amp; Maintenance</t>
  </si>
  <si>
    <t>ERP annual maintenance (18% of license)</t>
  </si>
  <si>
    <t>SaaS tools (email, collab, HR, finance)</t>
  </si>
  <si>
    <t xml:space="preserve">   People (Resources)</t>
  </si>
  <si>
    <t>Contracted dev support (part-time / 20%)</t>
  </si>
  <si>
    <t xml:space="preserve">   Maintenance &amp; Compliance</t>
  </si>
  <si>
    <t>Hardware maintenance &amp; warranties</t>
  </si>
  <si>
    <t>Compliance &amp; security audit (annual)</t>
  </si>
  <si>
    <t>Ongoing training &amp; upskilling</t>
  </si>
  <si>
    <t>Contingency (scenario-driven % of annual recurring)</t>
  </si>
  <si>
    <t>Productivity loss during transition (Year 1 only)</t>
  </si>
  <si>
    <t>Year 0 (now)</t>
  </si>
  <si>
    <t xml:space="preserve">  Discount Factor</t>
  </si>
  <si>
    <t>1.000 (no discount)</t>
  </si>
  <si>
    <t>▌  MODEL LEGEND &amp; KEY ASSUMPTIONS</t>
  </si>
  <si>
    <t xml:space="preserve">  🔵  Blue numbers</t>
  </si>
  <si>
    <t xml:space="preserve">  ⚫  Black numbers</t>
  </si>
  <si>
    <t xml:space="preserve">  🟢  Green numbers</t>
  </si>
  <si>
    <t xml:space="preserve">  Salary (people) costs</t>
  </si>
  <si>
    <t xml:space="preserve">  Why NPV &lt; Nominal</t>
  </si>
  <si>
    <t>A cost 5 years away is worth less today. NPV reveals the true economic burden.</t>
  </si>
  <si>
    <t xml:space="preserve">  Scenario toggle</t>
  </si>
  <si>
    <t>Go to the Assumptions tab, change cell B4 to 'Optimistic' or 'Pessimistic'</t>
  </si>
  <si>
    <t xml:space="preserve">  NOT included</t>
  </si>
  <si>
    <t>CapEx depreciation, tax shield on depreciation, office/utility costs, M&amp;A scenarios</t>
  </si>
  <si>
    <t>← Select from: "Base"  |  "Optimistic"  |  "Pessimistic"</t>
  </si>
  <si>
    <t>Price Escalation</t>
  </si>
  <si>
    <t>5-Year Model  |  On Premise  + Cloud Infrastructure  |  ~150-person company  |  All figures NZD  |  Scenario-driven via Assumptions tab</t>
  </si>
  <si>
    <t>~60% of total recurring TCO ,  the single biggest lever in any IT project</t>
  </si>
  <si>
    <t>Manager 1 FTE</t>
  </si>
  <si>
    <t>System Administrator 1 FTE</t>
  </si>
  <si>
    <t>Help Desk / Support  1 FTE</t>
  </si>
  <si>
    <t>Other subscriptions</t>
  </si>
  <si>
    <t>Core app perpetual license</t>
  </si>
  <si>
    <t>Additional software one-time purchase</t>
  </si>
  <si>
    <t>Total Cost of Ownership (TCO) - IT Project</t>
  </si>
  <si>
    <t>▌  SECTION 1 - ONE-TIME SETUP COSTS  (incurred at project start, Year 0)</t>
  </si>
  <si>
    <t xml:space="preserve">  SUBTOTAL - One-Time Costs</t>
  </si>
  <si>
    <t>▌  SECTION 2 - RECURRING ANNUAL COSTS  (escalate automatically per Assumptions tab)</t>
  </si>
  <si>
    <t xml:space="preserve">  SUBTOTAL - Recurring &amp; Transition Costs</t>
  </si>
  <si>
    <t>TOTAL COST OF OWNERSHIP - NOMINAL (undiscounted)</t>
  </si>
  <si>
    <t>TOTAL COST OF OWNERSHIP - NPV (in today's dollars)</t>
  </si>
  <si>
    <t>▌  DISCOUNT FACTOR TABLE  (how NPV works - each future year's costs shrink to their value in today's $)</t>
  </si>
  <si>
    <t>Hardcoded inputs - the starting point for your own scenario</t>
  </si>
  <si>
    <t>Formula-calculated - escalate automatically based on Assumptions tab rates</t>
  </si>
  <si>
    <t>NPV values - each dollar discounted back to today's value using WACC</t>
  </si>
  <si>
    <t>Change the Scenario Selector (cell B4) to switch between Base / Optimistic / Pessimistic - the entire TCO model updates automatically.</t>
  </si>
  <si>
    <t>Cost of capital - reflects investment risk; 8–12% typical for mid-size firms</t>
  </si>
  <si>
    <t>People costs are ~60% of TCO - this rate has outsized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</si>
</sst>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;&quot;($&quot;#,##0\);\-"/>
    <numFmt numFmtId="166" formatCode="0.000"/>
  </numFmts>
  <fonts count="25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i/>
      <sz val="9"/>
      <color rgb="FFCCCCCC"/>
      <name val="Arial"/>
      <charset val="1"/>
    </font>
    <font>
      <b/>
      <sz val="10"/>
      <color rgb="FFFFFFFF"/>
      <name val="Arial"/>
      <charset val="1"/>
    </font>
    <font>
      <b/>
      <sz val="11"/>
      <color rgb="FF0000FF"/>
      <name val="Arial"/>
      <charset val="1"/>
    </font>
    <font>
      <i/>
      <sz val="9"/>
      <color rgb="FF595959"/>
      <name val="Arial"/>
      <charset val="1"/>
    </font>
    <font>
      <sz val="10"/>
      <color rgb="FF000000"/>
      <name val="Arial"/>
      <charset val="1"/>
    </font>
    <font>
      <sz val="10"/>
      <color rgb="FF0000FF"/>
      <name val="Arial"/>
      <charset val="1"/>
    </font>
    <font>
      <b/>
      <sz val="10"/>
      <color rgb="FF1F3864"/>
      <name val="Arial"/>
      <charset val="1"/>
    </font>
    <font>
      <b/>
      <sz val="14"/>
      <color rgb="FFFFFFFF"/>
      <name val="Arial"/>
      <charset val="1"/>
    </font>
    <font>
      <i/>
      <sz val="9"/>
      <color rgb="FFBBBBBB"/>
      <name val="Arial"/>
      <charset val="1"/>
    </font>
    <font>
      <sz val="10"/>
      <name val="Arial"/>
      <charset val="1"/>
    </font>
    <font>
      <sz val="10"/>
      <color rgb="FF375623"/>
      <name val="Arial"/>
      <charset val="1"/>
    </font>
    <font>
      <i/>
      <sz val="10"/>
      <name val="Arial"/>
      <charset val="1"/>
    </font>
    <font>
      <i/>
      <sz val="10"/>
      <color rgb="FF000000"/>
      <name val="Arial"/>
      <charset val="1"/>
    </font>
    <font>
      <b/>
      <sz val="12"/>
      <color rgb="FFFFFFFF"/>
      <name val="Arial"/>
      <charset val="1"/>
    </font>
    <font>
      <b/>
      <sz val="11"/>
      <color rgb="FFFFFFFF"/>
      <name val="Arial"/>
      <charset val="1"/>
    </font>
    <font>
      <b/>
      <sz val="10"/>
      <color rgb="FF375623"/>
      <name val="Arial"/>
      <charset val="1"/>
    </font>
    <font>
      <b/>
      <sz val="9"/>
      <color rgb="FF375623"/>
      <name val="Arial"/>
      <charset val="1"/>
    </font>
    <font>
      <i/>
      <sz val="9"/>
      <name val="Arial"/>
      <charset val="1"/>
    </font>
    <font>
      <sz val="9"/>
      <name val="Arial"/>
      <charset val="1"/>
    </font>
    <font>
      <b/>
      <sz val="9"/>
      <color rgb="FF1F3864"/>
      <name val="Arial"/>
      <charset val="1"/>
    </font>
    <font>
      <b/>
      <sz val="10"/>
      <color rgb="FFFFFFFF"/>
      <name val="Arial"/>
      <family val="2"/>
    </font>
    <font>
      <i/>
      <sz val="9"/>
      <color rgb="FFBBBBBB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2E75B6"/>
        <bgColor rgb="FF0066CC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2EFDA"/>
      </patternFill>
    </fill>
    <fill>
      <patternFill patternType="solid">
        <fgColor rgb="FFD6E4F0"/>
        <bgColor rgb="FFC9D9F0"/>
      </patternFill>
    </fill>
    <fill>
      <patternFill patternType="solid">
        <fgColor rgb="FFFFFFFF"/>
        <bgColor rgb="FFF2F2F2"/>
      </patternFill>
    </fill>
    <fill>
      <patternFill patternType="solid">
        <fgColor rgb="FFC9D9F0"/>
        <bgColor rgb="FFBDD7EE"/>
      </patternFill>
    </fill>
    <fill>
      <patternFill patternType="solid">
        <fgColor rgb="FFBDD7EE"/>
        <bgColor rgb="FFC9D9F0"/>
      </patternFill>
    </fill>
    <fill>
      <patternFill patternType="solid">
        <fgColor rgb="FFE2EFDA"/>
        <bgColor rgb="FFF2F2F2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7" fillId="5" borderId="1" xfId="0" applyNumberFormat="1" applyFont="1" applyFill="1" applyBorder="1" applyAlignment="1">
      <alignment horizontal="center"/>
    </xf>
    <xf numFmtId="0" fontId="0" fillId="5" borderId="1" xfId="0" applyFill="1" applyBorder="1"/>
    <xf numFmtId="164" fontId="8" fillId="6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/>
    </xf>
    <xf numFmtId="164" fontId="7" fillId="7" borderId="1" xfId="0" applyNumberFormat="1" applyFont="1" applyFill="1" applyBorder="1" applyAlignment="1">
      <alignment horizontal="center"/>
    </xf>
    <xf numFmtId="0" fontId="0" fillId="7" borderId="1" xfId="0" applyFill="1" applyBorder="1"/>
    <xf numFmtId="0" fontId="5" fillId="7" borderId="1" xfId="0" applyFont="1" applyFill="1" applyBorder="1" applyAlignment="1">
      <alignment vertical="center" wrapText="1"/>
    </xf>
    <xf numFmtId="3" fontId="7" fillId="5" borderId="1" xfId="0" applyNumberFormat="1" applyFont="1" applyFill="1" applyBorder="1" applyAlignment="1">
      <alignment horizontal="center"/>
    </xf>
    <xf numFmtId="3" fontId="8" fillId="6" borderId="1" xfId="0" applyNumberFormat="1" applyFont="1" applyFill="1" applyBorder="1" applyAlignment="1">
      <alignment horizontal="center"/>
    </xf>
    <xf numFmtId="165" fontId="7" fillId="5" borderId="1" xfId="0" applyNumberFormat="1" applyFont="1" applyFill="1" applyBorder="1" applyAlignment="1">
      <alignment horizontal="center"/>
    </xf>
    <xf numFmtId="165" fontId="8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indent="1"/>
    </xf>
    <xf numFmtId="0" fontId="0" fillId="8" borderId="1" xfId="0" applyFill="1" applyBorder="1"/>
    <xf numFmtId="0" fontId="8" fillId="6" borderId="1" xfId="0" applyFont="1" applyFill="1" applyBorder="1" applyAlignment="1">
      <alignment indent="1"/>
    </xf>
    <xf numFmtId="0" fontId="0" fillId="6" borderId="1" xfId="0" applyFill="1" applyBorder="1"/>
    <xf numFmtId="0" fontId="11" fillId="7" borderId="1" xfId="0" applyFont="1" applyFill="1" applyBorder="1" applyAlignment="1">
      <alignment indent="3"/>
    </xf>
    <xf numFmtId="165" fontId="7" fillId="7" borderId="1" xfId="0" applyNumberFormat="1" applyFont="1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165" fontId="11" fillId="7" borderId="1" xfId="0" applyNumberFormat="1" applyFont="1" applyFill="1" applyBorder="1" applyAlignment="1">
      <alignment horizontal="right"/>
    </xf>
    <xf numFmtId="165" fontId="12" fillId="7" borderId="1" xfId="0" applyNumberFormat="1" applyFont="1" applyFill="1" applyBorder="1" applyAlignment="1">
      <alignment horizontal="right"/>
    </xf>
    <xf numFmtId="0" fontId="11" fillId="5" borderId="1" xfId="0" applyFont="1" applyFill="1" applyBorder="1" applyAlignment="1">
      <alignment indent="3"/>
    </xf>
    <xf numFmtId="165" fontId="7" fillId="5" borderId="1" xfId="0" applyNumberFormat="1" applyFont="1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165" fontId="11" fillId="5" borderId="1" xfId="0" applyNumberFormat="1" applyFont="1" applyFill="1" applyBorder="1" applyAlignment="1">
      <alignment horizontal="right"/>
    </xf>
    <xf numFmtId="165" fontId="12" fillId="5" borderId="1" xfId="0" applyNumberFormat="1" applyFont="1" applyFill="1" applyBorder="1" applyAlignment="1">
      <alignment horizontal="right"/>
    </xf>
    <xf numFmtId="0" fontId="8" fillId="9" borderId="1" xfId="0" applyFont="1" applyFill="1" applyBorder="1" applyAlignment="1">
      <alignment indent="1"/>
    </xf>
    <xf numFmtId="165" fontId="8" fillId="9" borderId="1" xfId="0" applyNumberFormat="1" applyFont="1" applyFill="1" applyBorder="1" applyAlignment="1">
      <alignment horizontal="right"/>
    </xf>
    <xf numFmtId="165" fontId="6" fillId="7" borderId="1" xfId="0" applyNumberFormat="1" applyFont="1" applyFill="1" applyBorder="1" applyAlignment="1">
      <alignment horizontal="right"/>
    </xf>
    <xf numFmtId="165" fontId="6" fillId="5" borderId="1" xfId="0" applyNumberFormat="1" applyFont="1" applyFill="1" applyBorder="1" applyAlignment="1">
      <alignment horizontal="right"/>
    </xf>
    <xf numFmtId="0" fontId="13" fillId="5" borderId="1" xfId="0" applyFont="1" applyFill="1" applyBorder="1" applyAlignment="1">
      <alignment indent="3"/>
    </xf>
    <xf numFmtId="165" fontId="14" fillId="5" borderId="1" xfId="0" applyNumberFormat="1" applyFont="1" applyFill="1" applyBorder="1" applyAlignment="1">
      <alignment horizontal="right"/>
    </xf>
    <xf numFmtId="0" fontId="13" fillId="7" borderId="1" xfId="0" applyFont="1" applyFill="1" applyBorder="1" applyAlignment="1">
      <alignment indent="3"/>
    </xf>
    <xf numFmtId="165" fontId="14" fillId="7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 vertical="center"/>
    </xf>
    <xf numFmtId="0" fontId="0" fillId="3" borderId="1" xfId="0" applyFill="1" applyBorder="1"/>
    <xf numFmtId="165" fontId="16" fillId="3" borderId="1" xfId="0" applyNumberFormat="1" applyFont="1" applyFill="1" applyBorder="1" applyAlignment="1">
      <alignment horizontal="right" vertical="center"/>
    </xf>
    <xf numFmtId="0" fontId="17" fillId="10" borderId="1" xfId="0" applyFont="1" applyFill="1" applyBorder="1" applyAlignment="1">
      <alignment indent="1"/>
    </xf>
    <xf numFmtId="0" fontId="0" fillId="10" borderId="1" xfId="0" applyFill="1" applyBorder="1"/>
    <xf numFmtId="0" fontId="18" fillId="10" borderId="1" xfId="0" applyFont="1" applyFill="1" applyBorder="1" applyAlignment="1">
      <alignment horizontal="left"/>
    </xf>
    <xf numFmtId="0" fontId="18" fillId="10" borderId="1" xfId="0" applyFont="1" applyFill="1" applyBorder="1" applyAlignment="1">
      <alignment horizontal="center"/>
    </xf>
    <xf numFmtId="0" fontId="19" fillId="5" borderId="1" xfId="0" applyFont="1" applyFill="1" applyBorder="1"/>
    <xf numFmtId="0" fontId="20" fillId="5" borderId="1" xfId="0" applyFont="1" applyFill="1" applyBorder="1" applyAlignment="1">
      <alignment horizontal="center"/>
    </xf>
    <xf numFmtId="166" fontId="20" fillId="5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indent="1"/>
    </xf>
    <xf numFmtId="0" fontId="21" fillId="5" borderId="1" xfId="0" applyFont="1" applyFill="1" applyBorder="1" applyAlignment="1">
      <alignment indent="1"/>
    </xf>
    <xf numFmtId="0" fontId="21" fillId="7" borderId="1" xfId="0" applyFont="1" applyFill="1" applyBorder="1" applyAlignment="1">
      <alignment inden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 indent="1"/>
    </xf>
    <xf numFmtId="0" fontId="5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indent="1"/>
    </xf>
    <xf numFmtId="0" fontId="20" fillId="7" borderId="3" xfId="0" applyFont="1" applyFill="1" applyBorder="1" applyAlignment="1">
      <alignment wrapText="1"/>
    </xf>
    <xf numFmtId="0" fontId="20" fillId="5" borderId="3" xfId="0" applyFont="1" applyFill="1" applyBorder="1" applyAlignment="1">
      <alignment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2" fillId="2" borderId="1" xfId="0" applyFont="1" applyFill="1" applyBorder="1" applyAlignment="1">
      <alignment vertical="center" indent="1"/>
    </xf>
    <xf numFmtId="0" fontId="22" fillId="3" borderId="1" xfId="0" applyFont="1" applyFill="1" applyBorder="1" applyAlignment="1">
      <alignment vertical="center" indent="1"/>
    </xf>
    <xf numFmtId="0" fontId="23" fillId="2" borderId="0" xfId="0" applyFont="1" applyFill="1" applyAlignment="1">
      <alignment horizontal="center"/>
    </xf>
    <xf numFmtId="0" fontId="24" fillId="7" borderId="1" xfId="0" applyFont="1" applyFill="1" applyBorder="1" applyAlignment="1">
      <alignment indent="3"/>
    </xf>
    <xf numFmtId="0" fontId="24" fillId="5" borderId="1" xfId="0" applyFont="1" applyFill="1" applyBorder="1" applyAlignment="1">
      <alignment indent="3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6E4F0"/>
      <rgbColor rgb="FF660066"/>
      <rgbColor rgb="FFFF8080"/>
      <rgbColor rgb="FF0066CC"/>
      <rgbColor rgb="FFC9D9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FFF99"/>
      <rgbColor rgb="FFBDD7EE"/>
      <rgbColor rgb="FFFF99CC"/>
      <rgbColor rgb="FFBBBBBB"/>
      <rgbColor rgb="FFCCCCCC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pane ySplit="6" topLeftCell="A7" activePane="bottomLeft" state="frozen"/>
      <selection pane="bottomLeft" activeCell="J12" sqref="J12"/>
    </sheetView>
  </sheetViews>
  <sheetFormatPr defaultColWidth="8.7109375" defaultRowHeight="15" x14ac:dyDescent="0.25"/>
  <cols>
    <col min="1" max="1" width="32" customWidth="1"/>
    <col min="2" max="4" width="16" customWidth="1"/>
    <col min="5" max="5" width="4" customWidth="1"/>
    <col min="6" max="6" width="18" customWidth="1"/>
    <col min="7" max="7" width="35.140625" customWidth="1"/>
  </cols>
  <sheetData>
    <row r="1" spans="1:7" ht="25.5" customHeight="1" x14ac:dyDescent="0.25">
      <c r="A1" s="55" t="s">
        <v>0</v>
      </c>
      <c r="B1" s="55"/>
      <c r="C1" s="55"/>
      <c r="D1" s="55"/>
      <c r="E1" s="55"/>
      <c r="F1" s="55"/>
      <c r="G1" s="55"/>
    </row>
    <row r="2" spans="1:7" ht="19.5" customHeight="1" x14ac:dyDescent="0.25">
      <c r="A2" s="56" t="s">
        <v>94</v>
      </c>
      <c r="B2" s="56"/>
      <c r="C2" s="56"/>
      <c r="D2" s="56"/>
      <c r="E2" s="56"/>
      <c r="F2" s="56"/>
      <c r="G2" s="56"/>
    </row>
    <row r="3" spans="1:7" ht="7.5" customHeight="1" x14ac:dyDescent="0.25"/>
    <row r="4" spans="1:7" ht="24" customHeight="1" x14ac:dyDescent="0.25">
      <c r="A4" s="1" t="s">
        <v>1</v>
      </c>
      <c r="B4" s="2" t="s">
        <v>2</v>
      </c>
      <c r="C4" s="57" t="s">
        <v>73</v>
      </c>
      <c r="D4" s="57"/>
      <c r="E4" s="57"/>
      <c r="F4" s="57"/>
      <c r="G4" s="57"/>
    </row>
    <row r="5" spans="1:7" ht="7.5" customHeight="1" x14ac:dyDescent="0.25"/>
    <row r="6" spans="1:7" ht="19.5" customHeight="1" x14ac:dyDescent="0.25">
      <c r="A6" s="3" t="s">
        <v>3</v>
      </c>
      <c r="B6" s="4" t="s">
        <v>2</v>
      </c>
      <c r="C6" s="4" t="s">
        <v>4</v>
      </c>
      <c r="D6" s="4" t="s">
        <v>5</v>
      </c>
      <c r="E6" s="4"/>
      <c r="F6" s="4" t="s">
        <v>6</v>
      </c>
      <c r="G6" s="4" t="s">
        <v>7</v>
      </c>
    </row>
    <row r="7" spans="1:7" ht="24" x14ac:dyDescent="0.25">
      <c r="A7" s="5" t="s">
        <v>8</v>
      </c>
      <c r="B7" s="6">
        <v>0.1</v>
      </c>
      <c r="C7" s="6">
        <v>0.08</v>
      </c>
      <c r="D7" s="6">
        <v>0.13</v>
      </c>
      <c r="E7" s="7"/>
      <c r="F7" s="8">
        <f>INDEX(B7:D7,MATCH($B$4,{"Base","Optimistic","Pessimistic"},0))</f>
        <v>0.1</v>
      </c>
      <c r="G7" s="9" t="s">
        <v>95</v>
      </c>
    </row>
    <row r="8" spans="1:7" ht="24" x14ac:dyDescent="0.25">
      <c r="A8" s="10" t="s">
        <v>9</v>
      </c>
      <c r="B8" s="11">
        <v>0.03</v>
      </c>
      <c r="C8" s="11">
        <v>0.02</v>
      </c>
      <c r="D8" s="11">
        <v>0.05</v>
      </c>
      <c r="E8" s="12"/>
      <c r="F8" s="8">
        <f>INDEX(B8:D8,MATCH($B$4,{"Base","Optimistic","Pessimistic"},0))</f>
        <v>0.03</v>
      </c>
      <c r="G8" s="13" t="s">
        <v>10</v>
      </c>
    </row>
    <row r="9" spans="1:7" ht="24" x14ac:dyDescent="0.25">
      <c r="A9" s="5" t="s">
        <v>11</v>
      </c>
      <c r="B9" s="6">
        <v>0.03</v>
      </c>
      <c r="C9" s="6">
        <v>2.5000000000000001E-2</v>
      </c>
      <c r="D9" s="6">
        <v>4.4999999999999998E-2</v>
      </c>
      <c r="E9" s="7"/>
      <c r="F9" s="8">
        <f>INDEX(B9:D9,MATCH($B$4,{"Base","Optimistic","Pessimistic"},0))</f>
        <v>0.03</v>
      </c>
      <c r="G9" s="9" t="s">
        <v>96</v>
      </c>
    </row>
    <row r="10" spans="1:7" ht="24" x14ac:dyDescent="0.25">
      <c r="A10" s="10" t="s">
        <v>74</v>
      </c>
      <c r="B10" s="11">
        <v>0.08</v>
      </c>
      <c r="C10" s="11">
        <v>0.05</v>
      </c>
      <c r="D10" s="11">
        <v>0.14000000000000001</v>
      </c>
      <c r="E10" s="12"/>
      <c r="F10" s="8">
        <f>INDEX(B10:D10,MATCH($B$4,{"Base","Optimistic","Pessimistic"},0))</f>
        <v>0.08</v>
      </c>
      <c r="G10" s="13" t="s">
        <v>12</v>
      </c>
    </row>
    <row r="11" spans="1:7" ht="24" x14ac:dyDescent="0.25">
      <c r="A11" s="5" t="s">
        <v>13</v>
      </c>
      <c r="B11" s="6">
        <v>0.06</v>
      </c>
      <c r="C11" s="6">
        <v>0.04</v>
      </c>
      <c r="D11" s="6">
        <v>0.1</v>
      </c>
      <c r="E11" s="7"/>
      <c r="F11" s="8">
        <f>INDEX(B11:D11,MATCH($B$4,{"Base","Optimistic","Pessimistic"},0))</f>
        <v>0.06</v>
      </c>
      <c r="G11" s="9" t="s">
        <v>14</v>
      </c>
    </row>
    <row r="12" spans="1:7" ht="24" x14ac:dyDescent="0.25">
      <c r="A12" s="10" t="s">
        <v>15</v>
      </c>
      <c r="B12" s="11">
        <v>0.05</v>
      </c>
      <c r="C12" s="11">
        <v>0.03</v>
      </c>
      <c r="D12" s="11">
        <v>0.1</v>
      </c>
      <c r="E12" s="12"/>
      <c r="F12" s="8">
        <f>INDEX(B12:D12,MATCH($B$4,{"Base","Optimistic","Pessimistic"},0))</f>
        <v>0.05</v>
      </c>
      <c r="G12" s="13" t="s">
        <v>16</v>
      </c>
    </row>
    <row r="13" spans="1:7" ht="24" x14ac:dyDescent="0.25">
      <c r="A13" s="5" t="s">
        <v>17</v>
      </c>
      <c r="B13" s="14">
        <v>2</v>
      </c>
      <c r="C13" s="14">
        <v>1</v>
      </c>
      <c r="D13" s="14">
        <v>4</v>
      </c>
      <c r="E13" s="7"/>
      <c r="F13" s="15">
        <f>INDEX(B13:D13,MATCH($B$4,{"Base","Optimistic","Pessimistic"},0))</f>
        <v>2</v>
      </c>
      <c r="G13" s="9" t="s">
        <v>18</v>
      </c>
    </row>
    <row r="14" spans="1:7" ht="24" x14ac:dyDescent="0.25">
      <c r="A14" s="10" t="s">
        <v>19</v>
      </c>
      <c r="B14" s="11">
        <v>0.3</v>
      </c>
      <c r="C14" s="11">
        <v>0.2</v>
      </c>
      <c r="D14" s="11">
        <v>0.5</v>
      </c>
      <c r="E14" s="12"/>
      <c r="F14" s="8">
        <f>INDEX(B14:D14,MATCH($B$4,{"Base","Optimistic","Pessimistic"},0))</f>
        <v>0.3</v>
      </c>
      <c r="G14" s="13" t="s">
        <v>20</v>
      </c>
    </row>
    <row r="15" spans="1:7" ht="24" x14ac:dyDescent="0.25">
      <c r="A15" s="5" t="s">
        <v>21</v>
      </c>
      <c r="B15" s="16">
        <v>110000</v>
      </c>
      <c r="C15" s="16">
        <v>120000</v>
      </c>
      <c r="D15" s="16">
        <v>130000</v>
      </c>
      <c r="E15" s="7"/>
      <c r="F15" s="17">
        <f>INDEX(B15:D15,MATCH($B$4,{"Base","Optimistic","Pessimistic"},0))</f>
        <v>110000</v>
      </c>
      <c r="G15" s="9" t="s">
        <v>22</v>
      </c>
    </row>
    <row r="17" spans="1:7" ht="7.5" customHeight="1" x14ac:dyDescent="0.25"/>
    <row r="18" spans="1:7" ht="15.75" customHeight="1" x14ac:dyDescent="0.25">
      <c r="A18" s="58" t="s">
        <v>23</v>
      </c>
      <c r="B18" s="58"/>
      <c r="C18" s="58"/>
      <c r="D18" s="58"/>
      <c r="E18" s="58"/>
      <c r="F18" s="58"/>
      <c r="G18" s="58"/>
    </row>
  </sheetData>
  <mergeCells count="4">
    <mergeCell ref="A1:G1"/>
    <mergeCell ref="A2:G2"/>
    <mergeCell ref="C4:G4"/>
    <mergeCell ref="A18:G18"/>
  </mergeCells>
  <dataValidations count="1">
    <dataValidation type="list" allowBlank="1" showInputMessage="1" showErrorMessage="1" sqref="B4" xr:uid="{DC9FA3BD-5734-4E8E-8A46-B0BF6B50F92C}">
      <formula1>"Base,Optimistic,Pessimistic"</formula1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0" sqref="A10"/>
    </sheetView>
  </sheetViews>
  <sheetFormatPr defaultColWidth="8.7109375" defaultRowHeight="15" x14ac:dyDescent="0.25"/>
  <cols>
    <col min="1" max="1" width="62.5703125" customWidth="1"/>
    <col min="2" max="2" width="15.42578125" customWidth="1"/>
    <col min="3" max="7" width="13" customWidth="1"/>
    <col min="8" max="9" width="16" customWidth="1"/>
  </cols>
  <sheetData>
    <row r="1" spans="1:9" ht="27.75" customHeight="1" x14ac:dyDescent="0.25">
      <c r="A1" s="61" t="s">
        <v>83</v>
      </c>
      <c r="B1" s="61"/>
      <c r="C1" s="61"/>
      <c r="D1" s="61"/>
      <c r="E1" s="61"/>
      <c r="F1" s="61"/>
      <c r="G1" s="61"/>
      <c r="H1" s="61"/>
      <c r="I1" s="61"/>
    </row>
    <row r="2" spans="1:9" ht="15" customHeight="1" x14ac:dyDescent="0.25">
      <c r="A2" s="65" t="s">
        <v>75</v>
      </c>
      <c r="B2" s="62"/>
      <c r="C2" s="62"/>
      <c r="D2" s="62"/>
      <c r="E2" s="62"/>
      <c r="F2" s="62"/>
      <c r="G2" s="62"/>
      <c r="H2" s="62"/>
      <c r="I2" s="62"/>
    </row>
    <row r="3" spans="1:9" ht="6" customHeight="1" x14ac:dyDescent="0.25"/>
    <row r="4" spans="1:9" ht="24" customHeight="1" x14ac:dyDescent="0.25">
      <c r="A4" s="18" t="s">
        <v>24</v>
      </c>
      <c r="B4" s="19" t="s">
        <v>25</v>
      </c>
      <c r="C4" s="19" t="s">
        <v>26</v>
      </c>
      <c r="D4" s="19" t="s">
        <v>27</v>
      </c>
      <c r="E4" s="19" t="s">
        <v>28</v>
      </c>
      <c r="F4" s="19" t="s">
        <v>29</v>
      </c>
      <c r="G4" s="19" t="s">
        <v>30</v>
      </c>
      <c r="H4" s="19" t="s">
        <v>31</v>
      </c>
      <c r="I4" s="19" t="s">
        <v>32</v>
      </c>
    </row>
    <row r="5" spans="1:9" ht="18" customHeight="1" x14ac:dyDescent="0.25">
      <c r="A5" s="20" t="s">
        <v>84</v>
      </c>
      <c r="B5" s="21"/>
      <c r="C5" s="21"/>
      <c r="D5" s="21"/>
      <c r="E5" s="21"/>
      <c r="F5" s="21"/>
      <c r="G5" s="21"/>
      <c r="H5" s="21"/>
      <c r="I5" s="21"/>
    </row>
    <row r="6" spans="1:9" ht="18" customHeight="1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</row>
    <row r="7" spans="1:9" ht="16.5" customHeight="1" x14ac:dyDescent="0.25">
      <c r="A7" s="24" t="s">
        <v>34</v>
      </c>
      <c r="B7" s="25">
        <v>28000</v>
      </c>
      <c r="C7" s="26"/>
      <c r="D7" s="26"/>
      <c r="E7" s="26"/>
      <c r="F7" s="26"/>
      <c r="G7" s="26"/>
      <c r="H7" s="27">
        <f>SUM(B7:G7)</f>
        <v>28000</v>
      </c>
      <c r="I7" s="28">
        <f>B7</f>
        <v>28000</v>
      </c>
    </row>
    <row r="8" spans="1:9" ht="16.5" customHeight="1" x14ac:dyDescent="0.25">
      <c r="A8" s="29" t="s">
        <v>35</v>
      </c>
      <c r="B8" s="30">
        <v>12000</v>
      </c>
      <c r="C8" s="31"/>
      <c r="D8" s="31"/>
      <c r="E8" s="31"/>
      <c r="F8" s="31"/>
      <c r="G8" s="31"/>
      <c r="H8" s="32">
        <f>SUM(B8:G8)</f>
        <v>12000</v>
      </c>
      <c r="I8" s="33">
        <f>B8</f>
        <v>12000</v>
      </c>
    </row>
    <row r="9" spans="1:9" ht="16.5" customHeight="1" x14ac:dyDescent="0.25">
      <c r="A9" s="24" t="s">
        <v>36</v>
      </c>
      <c r="B9" s="25">
        <v>35000</v>
      </c>
      <c r="C9" s="26"/>
      <c r="D9" s="26"/>
      <c r="E9" s="26"/>
      <c r="F9" s="26"/>
      <c r="G9" s="26"/>
      <c r="H9" s="27">
        <f>SUM(B9:G9)</f>
        <v>35000</v>
      </c>
      <c r="I9" s="28">
        <f>B9</f>
        <v>35000</v>
      </c>
    </row>
    <row r="10" spans="1:9" ht="16.5" customHeight="1" x14ac:dyDescent="0.25">
      <c r="A10" s="29" t="s">
        <v>37</v>
      </c>
      <c r="B10" s="30">
        <v>4500</v>
      </c>
      <c r="C10" s="31"/>
      <c r="D10" s="31"/>
      <c r="E10" s="31"/>
      <c r="F10" s="31"/>
      <c r="G10" s="31"/>
      <c r="H10" s="32">
        <f>SUM(B10:G10)</f>
        <v>4500</v>
      </c>
      <c r="I10" s="33">
        <f>B10</f>
        <v>4500</v>
      </c>
    </row>
    <row r="11" spans="1:9" ht="18" customHeight="1" x14ac:dyDescent="0.25">
      <c r="A11" s="22" t="s">
        <v>38</v>
      </c>
      <c r="B11" s="23"/>
      <c r="C11" s="23"/>
      <c r="D11" s="23"/>
      <c r="E11" s="23"/>
      <c r="F11" s="23"/>
      <c r="G11" s="23"/>
      <c r="H11" s="23"/>
      <c r="I11" s="23"/>
    </row>
    <row r="12" spans="1:9" ht="16.5" customHeight="1" x14ac:dyDescent="0.25">
      <c r="A12" s="66" t="s">
        <v>81</v>
      </c>
      <c r="B12" s="25">
        <v>45000</v>
      </c>
      <c r="C12" s="26"/>
      <c r="D12" s="26"/>
      <c r="E12" s="26"/>
      <c r="F12" s="26"/>
      <c r="G12" s="26"/>
      <c r="H12" s="27">
        <f>SUM(B12:G12)</f>
        <v>45000</v>
      </c>
      <c r="I12" s="28">
        <f>B12</f>
        <v>45000</v>
      </c>
    </row>
    <row r="13" spans="1:9" ht="16.5" customHeight="1" x14ac:dyDescent="0.25">
      <c r="A13" s="67" t="s">
        <v>82</v>
      </c>
      <c r="B13" s="30">
        <v>8000</v>
      </c>
      <c r="C13" s="31"/>
      <c r="D13" s="31"/>
      <c r="E13" s="31"/>
      <c r="F13" s="31"/>
      <c r="G13" s="31"/>
      <c r="H13" s="32">
        <f>SUM(B13:G13)</f>
        <v>8000</v>
      </c>
      <c r="I13" s="33">
        <f>B13</f>
        <v>8000</v>
      </c>
    </row>
    <row r="14" spans="1:9" ht="16.5" customHeight="1" x14ac:dyDescent="0.25">
      <c r="A14" s="24" t="s">
        <v>39</v>
      </c>
      <c r="B14" s="25">
        <v>6500</v>
      </c>
      <c r="C14" s="26"/>
      <c r="D14" s="26"/>
      <c r="E14" s="26"/>
      <c r="F14" s="26"/>
      <c r="G14" s="26"/>
      <c r="H14" s="27">
        <f>SUM(B14:G14)</f>
        <v>6500</v>
      </c>
      <c r="I14" s="28">
        <f>B14</f>
        <v>6500</v>
      </c>
    </row>
    <row r="15" spans="1:9" ht="18" customHeight="1" x14ac:dyDescent="0.25">
      <c r="A15" s="22" t="s">
        <v>40</v>
      </c>
      <c r="B15" s="23"/>
      <c r="C15" s="23"/>
      <c r="D15" s="23"/>
      <c r="E15" s="23"/>
      <c r="F15" s="23"/>
      <c r="G15" s="23"/>
      <c r="H15" s="23"/>
      <c r="I15" s="23"/>
    </row>
    <row r="16" spans="1:9" ht="16.5" customHeight="1" x14ac:dyDescent="0.25">
      <c r="A16" s="24" t="s">
        <v>41</v>
      </c>
      <c r="B16" s="25">
        <v>30000</v>
      </c>
      <c r="C16" s="26"/>
      <c r="D16" s="26"/>
      <c r="E16" s="26"/>
      <c r="F16" s="26"/>
      <c r="G16" s="26"/>
      <c r="H16" s="27">
        <f>SUM(B16:G16)</f>
        <v>30000</v>
      </c>
      <c r="I16" s="28">
        <f>B16</f>
        <v>30000</v>
      </c>
    </row>
    <row r="17" spans="1:9" ht="16.5" customHeight="1" x14ac:dyDescent="0.25">
      <c r="A17" s="29" t="s">
        <v>42</v>
      </c>
      <c r="B17" s="30">
        <v>15000</v>
      </c>
      <c r="C17" s="31"/>
      <c r="D17" s="31"/>
      <c r="E17" s="31"/>
      <c r="F17" s="31"/>
      <c r="G17" s="31"/>
      <c r="H17" s="32">
        <f>SUM(B17:G17)</f>
        <v>15000</v>
      </c>
      <c r="I17" s="33">
        <f>B17</f>
        <v>15000</v>
      </c>
    </row>
    <row r="18" spans="1:9" ht="16.5" customHeight="1" x14ac:dyDescent="0.25">
      <c r="A18" s="24" t="s">
        <v>43</v>
      </c>
      <c r="B18" s="25">
        <v>12000</v>
      </c>
      <c r="C18" s="26"/>
      <c r="D18" s="26"/>
      <c r="E18" s="26"/>
      <c r="F18" s="26"/>
      <c r="G18" s="26"/>
      <c r="H18" s="27">
        <f>SUM(B18:G18)</f>
        <v>12000</v>
      </c>
      <c r="I18" s="28">
        <f>B18</f>
        <v>12000</v>
      </c>
    </row>
    <row r="19" spans="1:9" ht="16.5" customHeight="1" x14ac:dyDescent="0.25">
      <c r="A19" s="29" t="s">
        <v>44</v>
      </c>
      <c r="B19" s="30">
        <v>20000</v>
      </c>
      <c r="C19" s="31"/>
      <c r="D19" s="31"/>
      <c r="E19" s="31"/>
      <c r="F19" s="31"/>
      <c r="G19" s="31"/>
      <c r="H19" s="32">
        <f>SUM(B19:G19)</f>
        <v>20000</v>
      </c>
      <c r="I19" s="33">
        <f>B19</f>
        <v>20000</v>
      </c>
    </row>
    <row r="20" spans="1:9" ht="18.75" customHeight="1" x14ac:dyDescent="0.25">
      <c r="A20" s="34" t="s">
        <v>85</v>
      </c>
      <c r="B20" s="35">
        <f t="shared" ref="B20:I20" si="0">B7+B8+B9+B10+B12+B13+B14+B16+B17+B18+B19</f>
        <v>216000</v>
      </c>
      <c r="C20" s="35">
        <f t="shared" si="0"/>
        <v>0</v>
      </c>
      <c r="D20" s="35">
        <f t="shared" si="0"/>
        <v>0</v>
      </c>
      <c r="E20" s="35">
        <f t="shared" si="0"/>
        <v>0</v>
      </c>
      <c r="F20" s="35">
        <f t="shared" si="0"/>
        <v>0</v>
      </c>
      <c r="G20" s="35">
        <f t="shared" si="0"/>
        <v>0</v>
      </c>
      <c r="H20" s="35">
        <f t="shared" si="0"/>
        <v>216000</v>
      </c>
      <c r="I20" s="35">
        <f t="shared" si="0"/>
        <v>216000</v>
      </c>
    </row>
    <row r="21" spans="1:9" ht="6.75" customHeight="1" x14ac:dyDescent="0.25"/>
    <row r="22" spans="1:9" ht="18" customHeight="1" x14ac:dyDescent="0.25">
      <c r="A22" s="20" t="s">
        <v>86</v>
      </c>
      <c r="B22" s="21"/>
      <c r="C22" s="21"/>
      <c r="D22" s="21"/>
      <c r="E22" s="21"/>
      <c r="F22" s="21"/>
      <c r="G22" s="21"/>
      <c r="H22" s="21"/>
      <c r="I22" s="21"/>
    </row>
    <row r="23" spans="1:9" ht="18" customHeight="1" x14ac:dyDescent="0.25">
      <c r="A23" s="22" t="s">
        <v>45</v>
      </c>
      <c r="B23" s="23"/>
      <c r="C23" s="23"/>
      <c r="D23" s="23"/>
      <c r="E23" s="23"/>
      <c r="F23" s="23"/>
      <c r="G23" s="23"/>
      <c r="H23" s="23"/>
      <c r="I23" s="23"/>
    </row>
    <row r="24" spans="1:9" ht="16.5" customHeight="1" x14ac:dyDescent="0.25">
      <c r="A24" s="24" t="s">
        <v>46</v>
      </c>
      <c r="B24" s="12"/>
      <c r="C24" s="25">
        <v>36000</v>
      </c>
      <c r="D24" s="36">
        <f>C24*(1+Assumptions!$F$11)</f>
        <v>38160</v>
      </c>
      <c r="E24" s="36">
        <f>D24*(1+Assumptions!$F$11)</f>
        <v>40449.599999999999</v>
      </c>
      <c r="F24" s="36">
        <f>E24*(1+Assumptions!$F$11)</f>
        <v>42876.576000000001</v>
      </c>
      <c r="G24" s="36">
        <f>F24*(1+Assumptions!$F$11)</f>
        <v>45449.170560000006</v>
      </c>
      <c r="H24" s="27">
        <f>SUM(C24:G24)</f>
        <v>202935.34656000001</v>
      </c>
      <c r="I24" s="28">
        <f>B24/((1+Assumptions!$F$7)^1)+C24/((1+Assumptions!$F$7)^2)+D24/((1+Assumptions!$F$7)^3)+E24/((1+Assumptions!$F$7)^4)+F24/((1+Assumptions!$F$7)^5)</f>
        <v>112672.84028040803</v>
      </c>
    </row>
    <row r="25" spans="1:9" ht="16.5" customHeight="1" x14ac:dyDescent="0.25">
      <c r="A25" s="29" t="s">
        <v>47</v>
      </c>
      <c r="B25" s="7"/>
      <c r="C25" s="30">
        <v>6000</v>
      </c>
      <c r="D25" s="37">
        <f>C25*(1+Assumptions!$F$8)</f>
        <v>6180</v>
      </c>
      <c r="E25" s="37">
        <f>D25*(1+Assumptions!$F$8)</f>
        <v>6365.4000000000005</v>
      </c>
      <c r="F25" s="37">
        <f>E25*(1+Assumptions!$F$8)</f>
        <v>6556.362000000001</v>
      </c>
      <c r="G25" s="37">
        <f>F25*(1+Assumptions!$F$8)</f>
        <v>6753.0528600000016</v>
      </c>
      <c r="H25" s="32">
        <f>SUM(C25:G25)</f>
        <v>31854.814860000006</v>
      </c>
      <c r="I25" s="33">
        <f>B25/((1+Assumptions!$F$7)^1)+C25/((1+Assumptions!$F$7)^2)+D25/((1+Assumptions!$F$7)^3)+E25/((1+Assumptions!$F$7)^4)+F25/((1+Assumptions!$F$7)^5)</f>
        <v>18020.441971797751</v>
      </c>
    </row>
    <row r="26" spans="1:9" ht="18" customHeight="1" x14ac:dyDescent="0.25">
      <c r="A26" s="22" t="s">
        <v>48</v>
      </c>
      <c r="B26" s="23"/>
      <c r="C26" s="23"/>
      <c r="D26" s="23"/>
      <c r="E26" s="23"/>
      <c r="F26" s="23"/>
      <c r="G26" s="23"/>
      <c r="H26" s="23"/>
      <c r="I26" s="23"/>
    </row>
    <row r="27" spans="1:9" ht="16.5" customHeight="1" x14ac:dyDescent="0.25">
      <c r="A27" s="24" t="s">
        <v>49</v>
      </c>
      <c r="B27" s="12"/>
      <c r="C27" s="25">
        <v>8100</v>
      </c>
      <c r="D27" s="36">
        <f>C27*(1+Assumptions!$F$8)</f>
        <v>8343</v>
      </c>
      <c r="E27" s="36">
        <f>D27*(1+Assumptions!$F$8)</f>
        <v>8593.2900000000009</v>
      </c>
      <c r="F27" s="36">
        <f>E27*(1+Assumptions!$F$8)</f>
        <v>8851.0887000000002</v>
      </c>
      <c r="G27" s="36">
        <f>F27*(1+Assumptions!$F$8)</f>
        <v>9116.6213610000013</v>
      </c>
      <c r="H27" s="27">
        <f>SUM(C27:G27)</f>
        <v>43004.000060999999</v>
      </c>
      <c r="I27" s="28">
        <f>B27/((1+Assumptions!$F$7)^1)+C27/((1+Assumptions!$F$7)^2)+D27/((1+Assumptions!$F$7)^3)+E27/((1+Assumptions!$F$7)^4)+F27/((1+Assumptions!$F$7)^5)</f>
        <v>24327.596661926964</v>
      </c>
    </row>
    <row r="28" spans="1:9" ht="16.5" customHeight="1" x14ac:dyDescent="0.25">
      <c r="A28" s="29" t="s">
        <v>50</v>
      </c>
      <c r="B28" s="7"/>
      <c r="C28" s="30">
        <v>14400</v>
      </c>
      <c r="D28" s="37">
        <f>C28*(1+Assumptions!$F$10)</f>
        <v>15552.000000000002</v>
      </c>
      <c r="E28" s="37">
        <f>D28*(1+Assumptions!$F$10)</f>
        <v>16796.160000000003</v>
      </c>
      <c r="F28" s="37">
        <f>E28*(1+Assumptions!$F$10)</f>
        <v>18139.852800000004</v>
      </c>
      <c r="G28" s="37">
        <f>F28*(1+Assumptions!$F$10)</f>
        <v>19591.041024000006</v>
      </c>
      <c r="H28" s="32">
        <f>SUM(C28:G28)</f>
        <v>84479.053824000017</v>
      </c>
      <c r="I28" s="33">
        <f>B28/((1+Assumptions!$F$7)^1)+C28/((1+Assumptions!$F$7)^2)+D28/((1+Assumptions!$F$7)^3)+E28/((1+Assumptions!$F$7)^4)+F28/((1+Assumptions!$F$7)^5)</f>
        <v>46320.698909041232</v>
      </c>
    </row>
    <row r="29" spans="1:9" ht="16.5" customHeight="1" x14ac:dyDescent="0.25">
      <c r="A29" s="66" t="s">
        <v>80</v>
      </c>
      <c r="B29" s="12"/>
      <c r="C29" s="25">
        <v>9600</v>
      </c>
      <c r="D29" s="36">
        <f>C29*(1+Assumptions!$F$10)</f>
        <v>10368</v>
      </c>
      <c r="E29" s="36">
        <f>D29*(1+Assumptions!$F$10)</f>
        <v>11197.44</v>
      </c>
      <c r="F29" s="36">
        <f>E29*(1+Assumptions!$F$10)</f>
        <v>12093.235200000001</v>
      </c>
      <c r="G29" s="36">
        <f>F29*(1+Assumptions!$F$10)</f>
        <v>13060.694016000001</v>
      </c>
      <c r="H29" s="27">
        <f>SUM(C29:G29)</f>
        <v>56319.369216000006</v>
      </c>
      <c r="I29" s="28">
        <f>B29/((1+Assumptions!$F$7)^1)+C29/((1+Assumptions!$F$7)^2)+D29/((1+Assumptions!$F$7)^3)+E29/((1+Assumptions!$F$7)^4)+F29/((1+Assumptions!$F$7)^5)</f>
        <v>30880.465939360816</v>
      </c>
    </row>
    <row r="30" spans="1:9" ht="18" customHeight="1" x14ac:dyDescent="0.25">
      <c r="A30" s="22" t="s">
        <v>51</v>
      </c>
      <c r="B30" s="23"/>
      <c r="C30" s="23"/>
      <c r="D30" s="23"/>
      <c r="E30" s="23"/>
      <c r="F30" s="23"/>
      <c r="G30" s="23"/>
      <c r="H30" s="23"/>
      <c r="I30" s="23"/>
    </row>
    <row r="31" spans="1:9" ht="16.5" customHeight="1" x14ac:dyDescent="0.25">
      <c r="A31" s="66" t="s">
        <v>77</v>
      </c>
      <c r="B31" s="12"/>
      <c r="C31" s="25">
        <v>135000</v>
      </c>
      <c r="D31" s="36">
        <f>C31*(1+Assumptions!$F$9)</f>
        <v>139050</v>
      </c>
      <c r="E31" s="36">
        <f>D31*(1+Assumptions!$F$9)</f>
        <v>143221.5</v>
      </c>
      <c r="F31" s="36">
        <f>E31*(1+Assumptions!$F$9)</f>
        <v>147518.14499999999</v>
      </c>
      <c r="G31" s="36">
        <f>F31*(1+Assumptions!$F$9)</f>
        <v>151943.68935</v>
      </c>
      <c r="H31" s="27">
        <f>SUM(C31:G31)</f>
        <v>716733.33435000002</v>
      </c>
      <c r="I31" s="28">
        <f>B31/((1+Assumptions!$F$7)^1)+C31/((1+Assumptions!$F$7)^2)+D31/((1+Assumptions!$F$7)^3)+E31/((1+Assumptions!$F$7)^4)+F31/((1+Assumptions!$F$7)^5)</f>
        <v>405459.94436544937</v>
      </c>
    </row>
    <row r="32" spans="1:9" ht="16.5" customHeight="1" x14ac:dyDescent="0.25">
      <c r="A32" s="67" t="s">
        <v>78</v>
      </c>
      <c r="B32" s="7"/>
      <c r="C32" s="30">
        <v>95000</v>
      </c>
      <c r="D32" s="37">
        <f>C32*(1+Assumptions!$F$9)</f>
        <v>97850</v>
      </c>
      <c r="E32" s="37">
        <f>D32*(1+Assumptions!$F$9)</f>
        <v>100785.5</v>
      </c>
      <c r="F32" s="37">
        <f>E32*(1+Assumptions!$F$9)</f>
        <v>103809.065</v>
      </c>
      <c r="G32" s="37">
        <f>F32*(1+Assumptions!$F$9)</f>
        <v>106923.33695000001</v>
      </c>
      <c r="H32" s="32">
        <f>SUM(C32:G32)</f>
        <v>504367.90195000003</v>
      </c>
      <c r="I32" s="33">
        <f>B32/((1+Assumptions!$F$7)^1)+C32/((1+Assumptions!$F$7)^2)+D32/((1+Assumptions!$F$7)^3)+E32/((1+Assumptions!$F$7)^4)+F32/((1+Assumptions!$F$7)^5)</f>
        <v>285323.66455346433</v>
      </c>
    </row>
    <row r="33" spans="1:9" ht="16.5" customHeight="1" x14ac:dyDescent="0.25">
      <c r="A33" s="66" t="s">
        <v>79</v>
      </c>
      <c r="B33" s="12"/>
      <c r="C33" s="25">
        <v>65000</v>
      </c>
      <c r="D33" s="36">
        <f>C33*(1+Assumptions!$F$9)</f>
        <v>66950</v>
      </c>
      <c r="E33" s="36">
        <f>D33*(1+Assumptions!$F$9)</f>
        <v>68958.5</v>
      </c>
      <c r="F33" s="36">
        <f>E33*(1+Assumptions!$F$9)</f>
        <v>71027.255000000005</v>
      </c>
      <c r="G33" s="36">
        <f>F33*(1+Assumptions!$F$9)</f>
        <v>73158.072650000002</v>
      </c>
      <c r="H33" s="27">
        <f>SUM(C33:G33)</f>
        <v>345093.82764999999</v>
      </c>
      <c r="I33" s="28">
        <f>B33/((1+Assumptions!$F$7)^1)+C33/((1+Assumptions!$F$7)^2)+D33/((1+Assumptions!$F$7)^3)+E33/((1+Assumptions!$F$7)^4)+F33/((1+Assumptions!$F$7)^5)</f>
        <v>195221.4546944756</v>
      </c>
    </row>
    <row r="34" spans="1:9" ht="16.5" customHeight="1" x14ac:dyDescent="0.25">
      <c r="A34" s="29" t="s">
        <v>52</v>
      </c>
      <c r="B34" s="7"/>
      <c r="C34" s="30">
        <v>34000</v>
      </c>
      <c r="D34" s="37">
        <f>C34*(1+Assumptions!$F$9)</f>
        <v>35020</v>
      </c>
      <c r="E34" s="37">
        <f>D34*(1+Assumptions!$F$9)</f>
        <v>36070.6</v>
      </c>
      <c r="F34" s="37">
        <f>E34*(1+Assumptions!$F$9)</f>
        <v>37152.718000000001</v>
      </c>
      <c r="G34" s="37">
        <f>F34*(1+Assumptions!$F$9)</f>
        <v>38267.29954</v>
      </c>
      <c r="H34" s="32">
        <f>SUM(C34:G34)</f>
        <v>180510.61754000001</v>
      </c>
      <c r="I34" s="33">
        <f>B34/((1+Assumptions!$F$7)^1)+C34/((1+Assumptions!$F$7)^2)+D34/((1+Assumptions!$F$7)^3)+E34/((1+Assumptions!$F$7)^4)+F34/((1+Assumptions!$F$7)^5)</f>
        <v>102115.83784018725</v>
      </c>
    </row>
    <row r="35" spans="1:9" ht="18" customHeight="1" x14ac:dyDescent="0.25">
      <c r="A35" s="22" t="s">
        <v>53</v>
      </c>
      <c r="B35" s="23"/>
      <c r="C35" s="23"/>
      <c r="D35" s="23"/>
      <c r="E35" s="23"/>
      <c r="F35" s="23"/>
      <c r="G35" s="23"/>
      <c r="H35" s="23"/>
      <c r="I35" s="23"/>
    </row>
    <row r="36" spans="1:9" ht="16.5" customHeight="1" x14ac:dyDescent="0.25">
      <c r="A36" s="24" t="s">
        <v>54</v>
      </c>
      <c r="B36" s="12"/>
      <c r="C36" s="25">
        <v>8000</v>
      </c>
      <c r="D36" s="36">
        <f>C36*(1+Assumptions!$F$8)</f>
        <v>8240</v>
      </c>
      <c r="E36" s="36">
        <f>D36*(1+Assumptions!$F$8)</f>
        <v>8487.2000000000007</v>
      </c>
      <c r="F36" s="36">
        <f>E36*(1+Assumptions!$F$8)</f>
        <v>8741.8160000000007</v>
      </c>
      <c r="G36" s="36">
        <f>F36*(1+Assumptions!$F$8)</f>
        <v>9004.0704800000003</v>
      </c>
      <c r="H36" s="27">
        <f>SUM(C36:G36)</f>
        <v>42473.086480000005</v>
      </c>
      <c r="I36" s="28">
        <f>B36/((1+Assumptions!$F$7)^1)+C36/((1+Assumptions!$F$7)^2)+D36/((1+Assumptions!$F$7)^3)+E36/((1+Assumptions!$F$7)^4)+F36/((1+Assumptions!$F$7)^5)</f>
        <v>24027.255962397001</v>
      </c>
    </row>
    <row r="37" spans="1:9" ht="16.5" customHeight="1" x14ac:dyDescent="0.25">
      <c r="A37" s="29" t="s">
        <v>55</v>
      </c>
      <c r="B37" s="7"/>
      <c r="C37" s="30">
        <v>5000</v>
      </c>
      <c r="D37" s="37">
        <f>C37*(1+Assumptions!$F$8)</f>
        <v>5150</v>
      </c>
      <c r="E37" s="37">
        <f>D37*(1+Assumptions!$F$8)</f>
        <v>5304.5</v>
      </c>
      <c r="F37" s="37">
        <f>E37*(1+Assumptions!$F$8)</f>
        <v>5463.6350000000002</v>
      </c>
      <c r="G37" s="37">
        <f>F37*(1+Assumptions!$F$8)</f>
        <v>5627.5440500000004</v>
      </c>
      <c r="H37" s="32">
        <f>SUM(C37:G37)</f>
        <v>26545.679050000002</v>
      </c>
      <c r="I37" s="33">
        <f>B37/((1+Assumptions!$F$7)^1)+C37/((1+Assumptions!$F$7)^2)+D37/((1+Assumptions!$F$7)^3)+E37/((1+Assumptions!$F$7)^4)+F37/((1+Assumptions!$F$7)^5)</f>
        <v>15017.034976498124</v>
      </c>
    </row>
    <row r="38" spans="1:9" ht="16.5" customHeight="1" x14ac:dyDescent="0.25">
      <c r="A38" s="24" t="s">
        <v>56</v>
      </c>
      <c r="B38" s="12"/>
      <c r="C38" s="25">
        <v>4000</v>
      </c>
      <c r="D38" s="36">
        <f>C38*(1+Assumptions!$F$8)</f>
        <v>4120</v>
      </c>
      <c r="E38" s="36">
        <f>D38*(1+Assumptions!$F$8)</f>
        <v>4243.6000000000004</v>
      </c>
      <c r="F38" s="36">
        <f>E38*(1+Assumptions!$F$8)</f>
        <v>4370.9080000000004</v>
      </c>
      <c r="G38" s="36">
        <f>F38*(1+Assumptions!$F$8)</f>
        <v>4502.0352400000002</v>
      </c>
      <c r="H38" s="27">
        <f>SUM(C38:G38)</f>
        <v>21236.543240000003</v>
      </c>
      <c r="I38" s="28">
        <f>B38/((1+Assumptions!$F$7)^1)+C38/((1+Assumptions!$F$7)^2)+D38/((1+Assumptions!$F$7)^3)+E38/((1+Assumptions!$F$7)^4)+F38/((1+Assumptions!$F$7)^5)</f>
        <v>12013.6279811985</v>
      </c>
    </row>
    <row r="39" spans="1:9" ht="16.5" customHeight="1" x14ac:dyDescent="0.25">
      <c r="A39" s="38" t="s">
        <v>57</v>
      </c>
      <c r="B39" s="7"/>
      <c r="C39" s="39">
        <f>(C24+C25+C27+C28+C29+C31+C32+C33+C34+C36+C37+C38)*Assumptions!$F$12</f>
        <v>21005</v>
      </c>
      <c r="D39" s="39">
        <f>(D24+D25+D27+D28+D29+D31+D32+D33+D34+D36+D37+D38)*Assumptions!$F$12</f>
        <v>21749.15</v>
      </c>
      <c r="E39" s="39">
        <f>(E24+E25+E27+E28+E29+E31+E32+E33+E34+E36+E37+E38)*Assumptions!$F$12</f>
        <v>22523.664499999999</v>
      </c>
      <c r="F39" s="39">
        <f>(F24+F25+F27+F28+F29+F31+F32+F33+F34+F36+F37+F38)*Assumptions!$F$12</f>
        <v>23330.032835000002</v>
      </c>
      <c r="G39" s="39">
        <f>(G24+G25+G27+G28+G29+G31+G32+G33+G34+G36+G37+G38)*Assumptions!$F$12</f>
        <v>24169.831404050001</v>
      </c>
      <c r="H39" s="32">
        <f>SUM(C39:G39)</f>
        <v>112777.67873905</v>
      </c>
      <c r="I39" s="33">
        <f>B39/((1+Assumptions!$F$7)^1)+C39/((1+Assumptions!$F$7)^2)+D39/((1+Assumptions!$F$7)^3)+E39/((1+Assumptions!$F$7)^4)+F39/((1+Assumptions!$F$7)^5)</f>
        <v>63570.043206810253</v>
      </c>
    </row>
    <row r="40" spans="1:9" ht="16.5" customHeight="1" x14ac:dyDescent="0.25">
      <c r="A40" s="40" t="s">
        <v>58</v>
      </c>
      <c r="B40" s="12"/>
      <c r="C40" s="41">
        <f>Assumptions!$F$15*Assumptions!$F$14*(Assumptions!$F$13/12)</f>
        <v>5500</v>
      </c>
      <c r="D40" s="26"/>
      <c r="E40" s="26"/>
      <c r="F40" s="26"/>
      <c r="G40" s="26"/>
      <c r="H40" s="27">
        <f>C40</f>
        <v>5500</v>
      </c>
      <c r="I40" s="28">
        <f>C40/(1+Assumptions!$F$7)</f>
        <v>5000</v>
      </c>
    </row>
    <row r="41" spans="1:9" ht="18.75" customHeight="1" x14ac:dyDescent="0.25">
      <c r="A41" s="34" t="s">
        <v>87</v>
      </c>
      <c r="B41" s="35">
        <f t="shared" ref="B41:I41" si="1">B24+B25+B27+B28+B29+B31+B32+B33+B34+B36+B37+B38+B39+B40</f>
        <v>0</v>
      </c>
      <c r="C41" s="35">
        <f t="shared" si="1"/>
        <v>446605</v>
      </c>
      <c r="D41" s="35">
        <f t="shared" si="1"/>
        <v>456732.15</v>
      </c>
      <c r="E41" s="35">
        <f t="shared" si="1"/>
        <v>472996.95449999999</v>
      </c>
      <c r="F41" s="35">
        <f t="shared" si="1"/>
        <v>489930.68953500001</v>
      </c>
      <c r="G41" s="35">
        <f t="shared" si="1"/>
        <v>507566.45948505</v>
      </c>
      <c r="H41" s="35">
        <f t="shared" si="1"/>
        <v>2373831.2535200501</v>
      </c>
      <c r="I41" s="35">
        <f t="shared" si="1"/>
        <v>1339970.9073430153</v>
      </c>
    </row>
    <row r="42" spans="1:9" ht="6.75" customHeight="1" x14ac:dyDescent="0.25"/>
    <row r="43" spans="1:9" ht="25.5" customHeight="1" x14ac:dyDescent="0.25">
      <c r="A43" s="63" t="s">
        <v>88</v>
      </c>
      <c r="B43" s="42">
        <f t="shared" ref="B43:I43" si="2">B20+B41</f>
        <v>216000</v>
      </c>
      <c r="C43" s="42">
        <f t="shared" si="2"/>
        <v>446605</v>
      </c>
      <c r="D43" s="42">
        <f t="shared" si="2"/>
        <v>456732.15</v>
      </c>
      <c r="E43" s="42">
        <f t="shared" si="2"/>
        <v>472996.95449999999</v>
      </c>
      <c r="F43" s="42">
        <f t="shared" si="2"/>
        <v>489930.68953500001</v>
      </c>
      <c r="G43" s="42">
        <f t="shared" si="2"/>
        <v>507566.45948505</v>
      </c>
      <c r="H43" s="42">
        <f t="shared" si="2"/>
        <v>2589831.2535200501</v>
      </c>
      <c r="I43" s="42">
        <f t="shared" si="2"/>
        <v>1555970.9073430153</v>
      </c>
    </row>
    <row r="44" spans="1:9" ht="25.5" customHeight="1" x14ac:dyDescent="0.25">
      <c r="A44" s="64" t="s">
        <v>89</v>
      </c>
      <c r="B44" s="43"/>
      <c r="C44" s="43"/>
      <c r="D44" s="43"/>
      <c r="E44" s="43"/>
      <c r="F44" s="43"/>
      <c r="G44" s="43"/>
      <c r="H44" s="43"/>
      <c r="I44" s="44">
        <f>I20+I41</f>
        <v>1555970.9073430153</v>
      </c>
    </row>
    <row r="45" spans="1:9" ht="7.5" customHeight="1" x14ac:dyDescent="0.25"/>
    <row r="46" spans="1:9" ht="18" customHeight="1" x14ac:dyDescent="0.25">
      <c r="A46" s="45" t="s">
        <v>90</v>
      </c>
      <c r="B46" s="46"/>
      <c r="C46" s="46"/>
      <c r="D46" s="46"/>
      <c r="E46" s="46"/>
      <c r="F46" s="46"/>
      <c r="G46" s="46"/>
      <c r="H46" s="46"/>
      <c r="I46" s="46"/>
    </row>
    <row r="47" spans="1:9" ht="15.75" customHeight="1" x14ac:dyDescent="0.25">
      <c r="A47" s="47"/>
      <c r="B47" s="48" t="s">
        <v>59</v>
      </c>
      <c r="C47" s="48" t="s">
        <v>26</v>
      </c>
      <c r="D47" s="48" t="s">
        <v>27</v>
      </c>
      <c r="E47" s="48" t="s">
        <v>28</v>
      </c>
      <c r="F47" s="48" t="s">
        <v>29</v>
      </c>
      <c r="G47" s="48" t="s">
        <v>30</v>
      </c>
      <c r="H47" s="48"/>
      <c r="I47" s="48"/>
    </row>
    <row r="48" spans="1:9" ht="15.75" customHeight="1" x14ac:dyDescent="0.25">
      <c r="A48" s="49" t="s">
        <v>60</v>
      </c>
      <c r="B48" s="50" t="s">
        <v>61</v>
      </c>
      <c r="C48" s="51">
        <f>1/((1+Assumptions!$F$7)^1)</f>
        <v>0.90909090909090906</v>
      </c>
      <c r="D48" s="51">
        <f>1/((1+Assumptions!$F$7)^2)</f>
        <v>0.82644628099173545</v>
      </c>
      <c r="E48" s="51">
        <f>1/((1+Assumptions!$F$7)^3)</f>
        <v>0.75131480090157754</v>
      </c>
      <c r="F48" s="51">
        <f>1/((1+Assumptions!$F$7)^4)</f>
        <v>0.68301345536507052</v>
      </c>
      <c r="G48" s="51">
        <f>1/((1+Assumptions!$F$7)^5)</f>
        <v>0.62092132305915493</v>
      </c>
      <c r="H48" s="7"/>
      <c r="I48" s="7"/>
    </row>
    <row r="49" spans="1:9" ht="7.5" customHeight="1" x14ac:dyDescent="0.25"/>
    <row r="50" spans="1:9" ht="18" customHeight="1" x14ac:dyDescent="0.25">
      <c r="A50" s="52" t="s">
        <v>62</v>
      </c>
      <c r="B50" s="43"/>
      <c r="C50" s="43"/>
      <c r="D50" s="43"/>
      <c r="E50" s="43"/>
      <c r="F50" s="43"/>
      <c r="G50" s="43"/>
      <c r="H50" s="43"/>
      <c r="I50" s="43"/>
    </row>
    <row r="51" spans="1:9" ht="15.75" customHeight="1" x14ac:dyDescent="0.25">
      <c r="A51" s="53" t="s">
        <v>63</v>
      </c>
      <c r="B51" s="60" t="s">
        <v>91</v>
      </c>
      <c r="C51" s="60"/>
      <c r="D51" s="60"/>
      <c r="E51" s="60"/>
      <c r="F51" s="60"/>
      <c r="G51" s="60"/>
      <c r="H51" s="60"/>
      <c r="I51" s="60"/>
    </row>
    <row r="52" spans="1:9" ht="15.75" customHeight="1" x14ac:dyDescent="0.25">
      <c r="A52" s="54" t="s">
        <v>64</v>
      </c>
      <c r="B52" s="59" t="s">
        <v>92</v>
      </c>
      <c r="C52" s="59"/>
      <c r="D52" s="59"/>
      <c r="E52" s="59"/>
      <c r="F52" s="59"/>
      <c r="G52" s="59"/>
      <c r="H52" s="59"/>
      <c r="I52" s="59"/>
    </row>
    <row r="53" spans="1:9" ht="15.75" customHeight="1" x14ac:dyDescent="0.25">
      <c r="A53" s="53" t="s">
        <v>65</v>
      </c>
      <c r="B53" s="60" t="s">
        <v>93</v>
      </c>
      <c r="C53" s="60"/>
      <c r="D53" s="60"/>
      <c r="E53" s="60"/>
      <c r="F53" s="60"/>
      <c r="G53" s="60"/>
      <c r="H53" s="60"/>
      <c r="I53" s="60"/>
    </row>
    <row r="54" spans="1:9" ht="15.75" customHeight="1" x14ac:dyDescent="0.25">
      <c r="A54" s="54" t="s">
        <v>66</v>
      </c>
      <c r="B54" s="59" t="s">
        <v>76</v>
      </c>
      <c r="C54" s="59"/>
      <c r="D54" s="59"/>
      <c r="E54" s="59"/>
      <c r="F54" s="59"/>
      <c r="G54" s="59"/>
      <c r="H54" s="59"/>
      <c r="I54" s="59"/>
    </row>
    <row r="55" spans="1:9" ht="15.75" customHeight="1" x14ac:dyDescent="0.25">
      <c r="A55" s="53" t="s">
        <v>67</v>
      </c>
      <c r="B55" s="60" t="s">
        <v>68</v>
      </c>
      <c r="C55" s="60"/>
      <c r="D55" s="60"/>
      <c r="E55" s="60"/>
      <c r="F55" s="60"/>
      <c r="G55" s="60"/>
      <c r="H55" s="60"/>
      <c r="I55" s="60"/>
    </row>
    <row r="56" spans="1:9" ht="15.75" customHeight="1" x14ac:dyDescent="0.25">
      <c r="A56" s="54" t="s">
        <v>69</v>
      </c>
      <c r="B56" s="59" t="s">
        <v>70</v>
      </c>
      <c r="C56" s="59"/>
      <c r="D56" s="59"/>
      <c r="E56" s="59"/>
      <c r="F56" s="59"/>
      <c r="G56" s="59"/>
      <c r="H56" s="59"/>
      <c r="I56" s="59"/>
    </row>
    <row r="57" spans="1:9" ht="15.75" customHeight="1" x14ac:dyDescent="0.25">
      <c r="A57" s="53" t="s">
        <v>71</v>
      </c>
      <c r="B57" s="60" t="s">
        <v>72</v>
      </c>
      <c r="C57" s="60"/>
      <c r="D57" s="60"/>
      <c r="E57" s="60"/>
      <c r="F57" s="60"/>
      <c r="G57" s="60"/>
      <c r="H57" s="60"/>
      <c r="I57" s="60"/>
    </row>
  </sheetData>
  <mergeCells count="9">
    <mergeCell ref="B54:I54"/>
    <mergeCell ref="B55:I55"/>
    <mergeCell ref="B56:I56"/>
    <mergeCell ref="B57:I57"/>
    <mergeCell ref="A1:I1"/>
    <mergeCell ref="A2:I2"/>
    <mergeCell ref="B51:I51"/>
    <mergeCell ref="B52:I52"/>
    <mergeCell ref="B53:I53"/>
  </mergeCell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Assumptions</vt:lpstr>
      <vt:lpstr>TCO Model</vt:lpstr>
      <vt:lpstr>'TCO Model'!Print_Area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TCO Model Template</dc:title>
  <dc:subject/>
  <dc:creator>Sid Kumar</dc:creator>
  <cp:keywords>TCO Model</cp:keywords>
  <dc:description>Template for TCO Model</dc:description>
  <cp:lastModifiedBy>Sid Kumar</cp:lastModifiedBy>
  <cp:revision>0</cp:revision>
  <dcterms:created xsi:type="dcterms:W3CDTF">2026-04-25T02:06:12Z</dcterms:created>
  <dcterms:modified xsi:type="dcterms:W3CDTF">2026-04-25T06:31:51Z</dcterms:modified>
  <dc:language>en-US</dc:language>
</cp:coreProperties>
</file>